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log\EXCEL\"/>
    </mc:Choice>
  </mc:AlternateContent>
  <bookViews>
    <workbookView xWindow="120" yWindow="60" windowWidth="18915" windowHeight="8505" firstSheet="2" activeTab="8"/>
  </bookViews>
  <sheets>
    <sheet name="Matrice absentéisme" sheetId="1" r:id="rId1"/>
    <sheet name="Calcul turn over" sheetId="4" r:id="rId2"/>
    <sheet name="Calcul médiane" sheetId="5" r:id="rId3"/>
    <sheet name="HS+Hcompensatrice trajet" sheetId="2" r:id="rId4"/>
    <sheet name="Matrice Ancienneté" sheetId="6" r:id="rId5"/>
    <sheet name="Saisie barème 2018" sheetId="7" r:id="rId6"/>
    <sheet name="H moyenne+ CP" sheetId="8" r:id="rId7"/>
    <sheet name="IJSS " sheetId="11" r:id="rId8"/>
    <sheet name="IJSS AT" sheetId="9" r:id="rId9"/>
  </sheets>
  <definedNames>
    <definedName name="CHARGE">'Saisie barème 2018'!$B$12</definedName>
    <definedName name="SALNET">'Saisie barème 2018'!$B$11</definedName>
    <definedName name="_xlnm.Print_Area" localSheetId="4">'Matrice Ancienneté'!$A$1:$I$6</definedName>
  </definedNames>
  <calcPr calcId="162913" concurrentCalc="0"/>
</workbook>
</file>

<file path=xl/calcChain.xml><?xml version="1.0" encoding="utf-8"?>
<calcChain xmlns="http://schemas.openxmlformats.org/spreadsheetml/2006/main">
  <c r="E7" i="11" l="1"/>
  <c r="I22" i="11"/>
  <c r="G15" i="11"/>
  <c r="H11" i="11"/>
  <c r="E24" i="11"/>
  <c r="G24" i="11"/>
  <c r="E19" i="11"/>
  <c r="G3" i="11"/>
  <c r="E7" i="9"/>
  <c r="F22" i="9"/>
  <c r="E24" i="9"/>
  <c r="F24" i="9"/>
  <c r="F11" i="9"/>
  <c r="E15" i="9"/>
  <c r="E19" i="9"/>
  <c r="F3" i="9"/>
  <c r="D10" i="8"/>
  <c r="D4" i="8"/>
  <c r="B9" i="7"/>
  <c r="D9" i="7"/>
  <c r="B8" i="7"/>
  <c r="B7" i="7"/>
  <c r="A8" i="7"/>
  <c r="C8" i="7"/>
  <c r="D8" i="7"/>
  <c r="B6" i="7"/>
  <c r="A7" i="7"/>
  <c r="C7" i="7"/>
  <c r="D7" i="7"/>
  <c r="B5" i="7"/>
  <c r="A6" i="7"/>
  <c r="C6" i="7"/>
  <c r="D6" i="7"/>
  <c r="B4" i="7"/>
  <c r="A5" i="7"/>
  <c r="C5" i="7"/>
  <c r="D5" i="7"/>
  <c r="B3" i="7"/>
  <c r="A4" i="7"/>
  <c r="C4" i="7"/>
  <c r="D4" i="7"/>
  <c r="C3" i="7"/>
  <c r="D3" i="7"/>
  <c r="E3" i="7"/>
  <c r="E4" i="7"/>
  <c r="E5" i="7"/>
  <c r="E6" i="7"/>
  <c r="E7" i="7"/>
  <c r="E8" i="7"/>
  <c r="E9" i="7"/>
  <c r="B14" i="7"/>
  <c r="B15" i="7"/>
  <c r="C4" i="6"/>
  <c r="C5" i="6"/>
  <c r="C6" i="6"/>
  <c r="F13" i="2"/>
  <c r="D7" i="5"/>
  <c r="D10" i="5"/>
  <c r="D11" i="5"/>
  <c r="D13" i="5"/>
  <c r="B7" i="4"/>
  <c r="B8" i="4"/>
  <c r="B12" i="4"/>
  <c r="B10" i="4"/>
  <c r="B11" i="4"/>
  <c r="B13" i="4"/>
  <c r="B29" i="1"/>
  <c r="B30" i="1"/>
  <c r="B31" i="1"/>
  <c r="B6" i="1"/>
  <c r="B7" i="1"/>
  <c r="B22" i="1"/>
  <c r="B23" i="1"/>
  <c r="B14" i="1"/>
  <c r="B15" i="1"/>
</calcChain>
</file>

<file path=xl/comments1.xml><?xml version="1.0" encoding="utf-8"?>
<comments xmlns="http://schemas.openxmlformats.org/spreadsheetml/2006/main">
  <authors>
    <author>bagda</author>
    <author>AFPA</author>
  </authors>
  <commentList>
    <comment ref="B11" authorId="0" shapeId="0">
      <text>
        <r>
          <rPr>
            <sz val="8"/>
            <color indexed="81"/>
            <rFont val="Tahoma"/>
            <family val="2"/>
          </rPr>
          <t xml:space="preserve">saisir le salaire net du salarié
</t>
        </r>
      </text>
    </comment>
    <comment ref="B12" authorId="0" shapeId="0">
      <text>
        <r>
          <rPr>
            <sz val="8"/>
            <color indexed="81"/>
            <rFont val="Tahoma"/>
            <family val="2"/>
          </rPr>
          <t>saisir le nombre total de personnes à charge</t>
        </r>
      </text>
    </comment>
    <comment ref="B14" authorId="1" shapeId="0">
      <text>
        <r>
          <rPr>
            <sz val="8"/>
            <color indexed="81"/>
            <rFont val="Tahoma"/>
            <family val="2"/>
          </rPr>
          <t>sauf en cas de pension alimentaire</t>
        </r>
      </text>
    </comment>
  </commentList>
</comments>
</file>

<file path=xl/sharedStrings.xml><?xml version="1.0" encoding="utf-8"?>
<sst xmlns="http://schemas.openxmlformats.org/spreadsheetml/2006/main" count="205" uniqueCount="131">
  <si>
    <t>JOUR OUVERTURE HEBDO</t>
  </si>
  <si>
    <t>NOMBRE SALARIES</t>
  </si>
  <si>
    <t>NOMBRE DE JOURS ABSENCES</t>
  </si>
  <si>
    <t>NOMBRE JOURS MOIS (OUVRES)</t>
  </si>
  <si>
    <t xml:space="preserve">NOMBRE JOURS TRAVAILLES </t>
  </si>
  <si>
    <t>taux absenteisme</t>
  </si>
  <si>
    <t>NOMBRE JOURS MOIS (OUVRABLES)</t>
  </si>
  <si>
    <t>NOMBRE JOURS MOIS (CALENDAIRES)</t>
  </si>
  <si>
    <t>NOMBRE JOURS ANNUEL (OUVRES)</t>
  </si>
  <si>
    <t>PENSEZ A ENLEVER LES JOURS FERIES</t>
  </si>
  <si>
    <t>( se pratique lorsque chaque poste est remplacé)</t>
  </si>
  <si>
    <t>sortie/effectif en fin d'année</t>
  </si>
  <si>
    <t>TURN OVER méthode 4</t>
  </si>
  <si>
    <t>(attention enlever licenciement économique!)</t>
  </si>
  <si>
    <t>sortie/effectif moyen</t>
  </si>
  <si>
    <t>turn over méthode 3</t>
  </si>
  <si>
    <t>entrée+sortie/effectif moyen</t>
  </si>
  <si>
    <t>Turn over méthode 2</t>
  </si>
  <si>
    <t xml:space="preserve"> méthode la plus utilisée</t>
  </si>
  <si>
    <t>entrée+sortie/2/effectif début année</t>
  </si>
  <si>
    <t xml:space="preserve">TURN OVER méthode 1 </t>
  </si>
  <si>
    <t>effectif moyen (entre début et fin d'année)</t>
  </si>
  <si>
    <t>EFFECTIF FIN ANNEE N</t>
  </si>
  <si>
    <t>EFFECTIF EN DEBUT ANNEE N</t>
  </si>
  <si>
    <t>DEPARTS année N</t>
  </si>
  <si>
    <t>ENTREES année N</t>
  </si>
  <si>
    <t>Exemple calcul turn over</t>
  </si>
  <si>
    <t>valeur début tranche +(position médiane*écart tranche/effectif tranche)</t>
  </si>
  <si>
    <t>valeur médiane</t>
  </si>
  <si>
    <t>nombre total dans la tranche en question</t>
  </si>
  <si>
    <t>effectif tranche médiane</t>
  </si>
  <si>
    <t>valeur de la fin de la tranche moins valeur début tranche</t>
  </si>
  <si>
    <t>écart entre tranche</t>
  </si>
  <si>
    <t>(rang médiane-valeur ECC de la tranche précédente)</t>
  </si>
  <si>
    <t>position médiane</t>
  </si>
  <si>
    <t>le nombre correspondant au début de la tranche ou se trouve le rang médiane</t>
  </si>
  <si>
    <t>val début tranche médiane</t>
  </si>
  <si>
    <t>20-29</t>
  </si>
  <si>
    <t>tranche du résultat où se trouve le rang médiane en fonction de la colonne des ECC</t>
  </si>
  <si>
    <t>tranche de la médiane</t>
  </si>
  <si>
    <r>
      <t>(effectif +</t>
    </r>
    <r>
      <rPr>
        <sz val="11"/>
        <color rgb="FFFF0000"/>
        <rFont val="Calibri"/>
        <family val="2"/>
        <scheme val="minor"/>
      </rPr>
      <t>1 si effectif est impair</t>
    </r>
    <r>
      <rPr>
        <sz val="11"/>
        <rFont val="Calibri"/>
        <family val="2"/>
        <scheme val="minor"/>
      </rPr>
      <t>)/2</t>
    </r>
  </si>
  <si>
    <t>rang médiane</t>
  </si>
  <si>
    <t>somme des effectifs dans une catégorie</t>
  </si>
  <si>
    <t>total effectif</t>
  </si>
  <si>
    <t>avec = cellule précédente+
cellule de la ligne</t>
  </si>
  <si>
    <t>effectif de la tranche + effectif précédent</t>
  </si>
  <si>
    <t>calculer l'effectif cumulé croissant pour chaque catégorie</t>
  </si>
  <si>
    <t>avec somme(cellule; 
cellule)</t>
  </si>
  <si>
    <t>à partir d'une base de donnée il faudra faire un tableau croisé dynamique</t>
  </si>
  <si>
    <t>si ce n'est pas fait regrouper l'ensemble des données par tranche</t>
  </si>
  <si>
    <t>EXEMPLE</t>
  </si>
  <si>
    <t>méthode calcul</t>
  </si>
  <si>
    <t>désignation</t>
  </si>
  <si>
    <t>Numéro étape</t>
  </si>
  <si>
    <t>METHODOLOGIE CALCUL MEDIANE</t>
  </si>
  <si>
    <t>formule HS 25%</t>
  </si>
  <si>
    <t>MIN(MAX(nbr heure hebdo-30/24;0);3/24)</t>
  </si>
  <si>
    <t>formule HS 10%</t>
  </si>
  <si>
    <t>MAX(nbr heur hebdo-33/24;0)</t>
  </si>
  <si>
    <t>30h/semaine</t>
  </si>
  <si>
    <t>35h/semaine</t>
  </si>
  <si>
    <t>MIN(MAX(nbr heure hebdo-35/24;0);8/24)</t>
  </si>
  <si>
    <t>formule HS 50%</t>
  </si>
  <si>
    <t>MAX(nbr heure hebdo-35/24;0)</t>
  </si>
  <si>
    <t>tps partiel</t>
  </si>
  <si>
    <t>tps complet</t>
  </si>
  <si>
    <t>Date déplacement</t>
  </si>
  <si>
    <t>Heure début Travail</t>
  </si>
  <si>
    <t>Heure Fin travail</t>
  </si>
  <si>
    <t>Heure départ</t>
  </si>
  <si>
    <t>Heure Arrivée</t>
  </si>
  <si>
    <t>Total de compensation Trajet</t>
  </si>
  <si>
    <t>jours</t>
  </si>
  <si>
    <t>mois</t>
  </si>
  <si>
    <t>années</t>
  </si>
  <si>
    <t>ancienneté :</t>
  </si>
  <si>
    <t>Entrez date</t>
  </si>
  <si>
    <t>date de départ :</t>
  </si>
  <si>
    <t>date d'entrée :</t>
  </si>
  <si>
    <t>Calcul ancienneté</t>
  </si>
  <si>
    <t>http://rfpaye.grouperf.com/calcul/index.php?salaire=1500&amp;charge=3&amp;fichier=saisie_sur_salaires</t>
  </si>
  <si>
    <t>Vous pouvez également utiliser l'outil de calcul de la Revue Fiduciaire :</t>
  </si>
  <si>
    <t>quotité saisissable</t>
  </si>
  <si>
    <t>Fraction insaisissable</t>
  </si>
  <si>
    <t>RSA</t>
  </si>
  <si>
    <t>nbre pers. Charge</t>
  </si>
  <si>
    <t>salaire net</t>
  </si>
  <si>
    <t>totalité</t>
  </si>
  <si>
    <t>au-delà de</t>
  </si>
  <si>
    <t>cumulé</t>
  </si>
  <si>
    <t>par tranche</t>
  </si>
  <si>
    <t>Quotité saisissable</t>
  </si>
  <si>
    <t>Taux</t>
  </si>
  <si>
    <t>Tranche mensuelle</t>
  </si>
  <si>
    <t>Calcul H mensuel moyenne</t>
  </si>
  <si>
    <t>X</t>
  </si>
  <si>
    <t>Nb H hebdo</t>
  </si>
  <si>
    <t>Calcul CP</t>
  </si>
  <si>
    <t>Nb Semaine présence</t>
  </si>
  <si>
    <t>1) calculer absence maladie</t>
  </si>
  <si>
    <t>Salaire brut</t>
  </si>
  <si>
    <t>2) Calculer IJSS</t>
  </si>
  <si>
    <t>salaire brut</t>
  </si>
  <si>
    <t>3) Calculer droit au maintien de salaire</t>
  </si>
  <si>
    <t>Dernier salaire brut</t>
  </si>
  <si>
    <t>nbr jour abs</t>
  </si>
  <si>
    <t>=</t>
  </si>
  <si>
    <t>4) montant indemnité sécurité sociale</t>
  </si>
  <si>
    <t>IJSS</t>
  </si>
  <si>
    <t>Pas de carence</t>
  </si>
  <si>
    <t>5) calculer complément de salaire</t>
  </si>
  <si>
    <t>Droit au maintien de salaire</t>
  </si>
  <si>
    <t>-</t>
  </si>
  <si>
    <t>Montant IJSS</t>
  </si>
  <si>
    <t>6) Si subrogation - calculer montant net IJSS</t>
  </si>
  <si>
    <t>Indemnité brut</t>
  </si>
  <si>
    <t>Indemnité net</t>
  </si>
  <si>
    <t>IJSS brute</t>
  </si>
  <si>
    <t>6,7% CSG+CRDS</t>
  </si>
  <si>
    <t>partie basse du bulletin</t>
  </si>
  <si>
    <t>non soumise a cotisation</t>
  </si>
  <si>
    <t>Partie haute du bulletin 
soumis à cotisation</t>
  </si>
  <si>
    <t>E 3 derniers salaire brut</t>
  </si>
  <si>
    <t>X(</t>
  </si>
  <si>
    <t>)X</t>
  </si>
  <si>
    <t>)=</t>
  </si>
  <si>
    <t>jours de carence</t>
  </si>
  <si>
    <t xml:space="preserve">Nb jours abs </t>
  </si>
  <si>
    <t>nbr heure effective de travail du mois</t>
  </si>
  <si>
    <t xml:space="preserve">Nb heures abs </t>
  </si>
  <si>
    <t>nbr heures réelles mensuel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</si>
</sst>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_-* #,##0.00\ _F_-;\-* #,##0.00\ _F_-;_-* &quot;-&quot;??\ _F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FF0000"/>
      <name val="Calibri"/>
    </font>
    <font>
      <sz val="10"/>
      <name val="Arial"/>
    </font>
    <font>
      <b/>
      <sz val="1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1"/>
      <name val="Arial Narrow"/>
    </font>
    <font>
      <u/>
      <sz val="11"/>
      <color theme="10"/>
      <name val="Arial Narrow"/>
      <family val="2"/>
    </font>
    <font>
      <b/>
      <sz val="11"/>
      <name val="Calibri"/>
      <family val="2"/>
      <scheme val="minor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10" fontId="0" fillId="0" borderId="0" xfId="1" applyNumberFormat="1" applyFont="1"/>
    <xf numFmtId="0" fontId="4" fillId="0" borderId="0" xfId="0" applyFont="1"/>
    <xf numFmtId="0" fontId="0" fillId="2" borderId="0" xfId="0" applyFill="1"/>
    <xf numFmtId="0" fontId="0" fillId="3" borderId="0" xfId="0" applyFill="1"/>
    <xf numFmtId="10" fontId="0" fillId="3" borderId="0" xfId="1" applyNumberFormat="1" applyFont="1" applyFill="1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/>
    <xf numFmtId="20" fontId="0" fillId="0" borderId="3" xfId="0" applyNumberFormat="1" applyFont="1" applyBorder="1"/>
    <xf numFmtId="46" fontId="9" fillId="0" borderId="3" xfId="0" applyNumberFormat="1" applyFont="1" applyBorder="1"/>
    <xf numFmtId="0" fontId="10" fillId="0" borderId="0" xfId="2"/>
    <xf numFmtId="164" fontId="10" fillId="0" borderId="0" xfId="2" applyNumberFormat="1"/>
    <xf numFmtId="1" fontId="10" fillId="0" borderId="0" xfId="2" applyNumberFormat="1"/>
    <xf numFmtId="165" fontId="11" fillId="0" borderId="0" xfId="2" applyNumberFormat="1" applyFont="1"/>
    <xf numFmtId="165" fontId="11" fillId="0" borderId="0" xfId="3" applyFont="1"/>
    <xf numFmtId="2" fontId="10" fillId="0" borderId="0" xfId="2" applyNumberFormat="1"/>
    <xf numFmtId="165" fontId="0" fillId="0" borderId="0" xfId="3" applyFont="1"/>
    <xf numFmtId="0" fontId="10" fillId="0" borderId="0" xfId="2" quotePrefix="1"/>
    <xf numFmtId="165" fontId="0" fillId="0" borderId="0" xfId="3" applyNumberFormat="1" applyFont="1"/>
    <xf numFmtId="165" fontId="10" fillId="0" borderId="0" xfId="2" applyNumberFormat="1"/>
    <xf numFmtId="0" fontId="11" fillId="0" borderId="0" xfId="2" applyFont="1"/>
    <xf numFmtId="0" fontId="12" fillId="0" borderId="0" xfId="2" applyFont="1"/>
    <xf numFmtId="0" fontId="13" fillId="0" borderId="0" xfId="2" applyFont="1"/>
    <xf numFmtId="14" fontId="10" fillId="0" borderId="0" xfId="2" applyNumberFormat="1"/>
    <xf numFmtId="0" fontId="6" fillId="0" borderId="0" xfId="4" applyFont="1" applyAlignment="1">
      <alignment vertical="center"/>
    </xf>
    <xf numFmtId="0" fontId="15" fillId="0" borderId="0" xfId="5" applyAlignment="1" applyProtection="1">
      <alignment vertical="center"/>
    </xf>
    <xf numFmtId="2" fontId="6" fillId="3" borderId="0" xfId="4" applyNumberFormat="1" applyFont="1" applyFill="1" applyAlignment="1">
      <alignment vertical="center"/>
    </xf>
    <xf numFmtId="0" fontId="6" fillId="3" borderId="0" xfId="4" applyFont="1" applyFill="1" applyAlignment="1">
      <alignment vertical="center"/>
    </xf>
    <xf numFmtId="12" fontId="6" fillId="0" borderId="0" xfId="4" applyNumberFormat="1" applyFont="1" applyAlignment="1">
      <alignment vertical="center"/>
    </xf>
    <xf numFmtId="0" fontId="6" fillId="5" borderId="0" xfId="4" applyFont="1" applyFill="1" applyAlignment="1">
      <alignment vertical="center"/>
    </xf>
    <xf numFmtId="2" fontId="16" fillId="6" borderId="1" xfId="4" applyNumberFormat="1" applyFont="1" applyFill="1" applyBorder="1" applyAlignment="1">
      <alignment horizontal="center" vertical="center"/>
    </xf>
    <xf numFmtId="2" fontId="6" fillId="0" borderId="1" xfId="4" applyNumberFormat="1" applyFont="1" applyBorder="1" applyAlignment="1">
      <alignment horizontal="center" vertical="center"/>
    </xf>
    <xf numFmtId="13" fontId="6" fillId="0" borderId="1" xfId="4" applyNumberFormat="1" applyFont="1" applyBorder="1" applyAlignment="1">
      <alignment horizontal="center" vertical="center"/>
    </xf>
    <xf numFmtId="2" fontId="6" fillId="0" borderId="0" xfId="4" applyNumberFormat="1" applyFont="1" applyAlignment="1">
      <alignment vertical="center"/>
    </xf>
    <xf numFmtId="13" fontId="6" fillId="0" borderId="1" xfId="4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0" fillId="0" borderId="0" xfId="0" applyNumberFormat="1"/>
    <xf numFmtId="2" fontId="0" fillId="0" borderId="4" xfId="0" applyNumberFormat="1" applyBorder="1"/>
    <xf numFmtId="9" fontId="0" fillId="0" borderId="0" xfId="1" applyFont="1" applyBorder="1"/>
    <xf numFmtId="0" fontId="2" fillId="0" borderId="0" xfId="0" applyFont="1"/>
    <xf numFmtId="0" fontId="0" fillId="0" borderId="0" xfId="0" applyAlignment="1">
      <alignment wrapText="1"/>
    </xf>
    <xf numFmtId="9" fontId="0" fillId="0" borderId="4" xfId="1" applyFont="1" applyBorder="1" applyAlignment="1">
      <alignment horizontal="center"/>
    </xf>
    <xf numFmtId="1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16" fillId="6" borderId="1" xfId="4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/>
    <xf numFmtId="0" fontId="0" fillId="0" borderId="4" xfId="0" applyBorder="1" applyAlignment="1">
      <alignment horizontal="center"/>
    </xf>
  </cellXfs>
  <cellStyles count="6">
    <cellStyle name="Lien hypertexte" xfId="5" builtinId="8"/>
    <cellStyle name="Milliers 2" xfId="3"/>
    <cellStyle name="Normal" xfId="0" builtinId="0"/>
    <cellStyle name="Normal 2" xfId="2"/>
    <cellStyle name="Normal 3" xfId="4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39688</xdr:colOff>
      <xdr:row>15</xdr:row>
      <xdr:rowOff>174625</xdr:rowOff>
    </xdr:from>
    <xdr:ext cx="5362575" cy="2981325"/>
    <xdr:pic>
      <xdr:nvPicPr>
        <xdr:cNvPr id="2" name="Imag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8" y="3032125"/>
          <a:ext cx="5362575" cy="29813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1</xdr:row>
      <xdr:rowOff>133350</xdr:rowOff>
    </xdr:from>
    <xdr:to>
      <xdr:col>9</xdr:col>
      <xdr:colOff>733425</xdr:colOff>
      <xdr:row>7</xdr:row>
      <xdr:rowOff>114300</xdr:rowOff>
    </xdr:to>
    <xdr:cxnSp macro="">
      <xdr:nvCxnSpPr>
        <xdr:cNvPr id="2" name="Connecteur droit avec flèche 1"/>
        <xdr:cNvCxnSpPr/>
      </xdr:nvCxnSpPr>
      <xdr:spPr>
        <a:xfrm>
          <a:off x="6057900" y="323850"/>
          <a:ext cx="600075" cy="1143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209550</xdr:colOff>
      <xdr:row>11</xdr:row>
      <xdr:rowOff>142875</xdr:rowOff>
    </xdr:from>
    <xdr:to>
      <xdr:col>9</xdr:col>
      <xdr:colOff>742950</xdr:colOff>
      <xdr:row>17</xdr:row>
      <xdr:rowOff>123826</xdr:rowOff>
    </xdr:to>
    <xdr:cxnSp macro="">
      <xdr:nvCxnSpPr>
        <xdr:cNvPr id="3" name="Connecteur droit avec flèche 2"/>
        <xdr:cNvCxnSpPr/>
      </xdr:nvCxnSpPr>
      <xdr:spPr>
        <a:xfrm flipV="1">
          <a:off x="6134100" y="2266950"/>
          <a:ext cx="533400" cy="112395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20</xdr:row>
      <xdr:rowOff>114300</xdr:rowOff>
    </xdr:from>
    <xdr:to>
      <xdr:col>9</xdr:col>
      <xdr:colOff>647700</xdr:colOff>
      <xdr:row>20</xdr:row>
      <xdr:rowOff>123825</xdr:rowOff>
    </xdr:to>
    <xdr:cxnSp macro="">
      <xdr:nvCxnSpPr>
        <xdr:cNvPr id="4" name="Connecteur droit avec flèche 3"/>
        <xdr:cNvCxnSpPr/>
      </xdr:nvCxnSpPr>
      <xdr:spPr>
        <a:xfrm flipV="1">
          <a:off x="5962650" y="4143375"/>
          <a:ext cx="6096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133350</xdr:rowOff>
    </xdr:from>
    <xdr:to>
      <xdr:col>6</xdr:col>
      <xdr:colOff>647700</xdr:colOff>
      <xdr:row>8</xdr:row>
      <xdr:rowOff>114300</xdr:rowOff>
    </xdr:to>
    <xdr:cxnSp macro="">
      <xdr:nvCxnSpPr>
        <xdr:cNvPr id="3" name="Connecteur droit avec flèche 2"/>
        <xdr:cNvCxnSpPr/>
      </xdr:nvCxnSpPr>
      <xdr:spPr>
        <a:xfrm>
          <a:off x="4029075" y="514350"/>
          <a:ext cx="600075" cy="1143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11</xdr:row>
      <xdr:rowOff>47625</xdr:rowOff>
    </xdr:from>
    <xdr:to>
      <xdr:col>6</xdr:col>
      <xdr:colOff>571500</xdr:colOff>
      <xdr:row>17</xdr:row>
      <xdr:rowOff>28576</xdr:rowOff>
    </xdr:to>
    <xdr:cxnSp macro="">
      <xdr:nvCxnSpPr>
        <xdr:cNvPr id="5" name="Connecteur droit avec flèche 4"/>
        <xdr:cNvCxnSpPr/>
      </xdr:nvCxnSpPr>
      <xdr:spPr>
        <a:xfrm flipV="1">
          <a:off x="4019550" y="2171700"/>
          <a:ext cx="533400" cy="112395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20</xdr:row>
      <xdr:rowOff>85725</xdr:rowOff>
    </xdr:from>
    <xdr:to>
      <xdr:col>6</xdr:col>
      <xdr:colOff>676275</xdr:colOff>
      <xdr:row>20</xdr:row>
      <xdr:rowOff>95250</xdr:rowOff>
    </xdr:to>
    <xdr:cxnSp macro="">
      <xdr:nvCxnSpPr>
        <xdr:cNvPr id="7" name="Connecteur droit avec flèche 6"/>
        <xdr:cNvCxnSpPr/>
      </xdr:nvCxnSpPr>
      <xdr:spPr>
        <a:xfrm flipV="1">
          <a:off x="4048125" y="4114800"/>
          <a:ext cx="6096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rfpaye.grouperf.com/calcul/index.php?salaire=1500&amp;charge=3&amp;fichier=saisie_sur_salaires" TargetMode="Externa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topLeftCell="A7" workbookViewId="0">
      <selection activeCell="D23" sqref="D23"/>
    </sheetView>
  </sheetViews>
  <sheetFormatPr baseColWidth="10" defaultRowHeight="15" x14ac:dyDescent="0.25"/>
  <cols>
    <col min="1" max="1" width="34.42578125" bestFit="1" customWidth="1"/>
  </cols>
  <sheetData>
    <row r="2" spans="1:2" x14ac:dyDescent="0.25">
      <c r="A2" t="s">
        <v>1</v>
      </c>
      <c r="B2">
        <v>120</v>
      </c>
    </row>
    <row r="3" spans="1:2" x14ac:dyDescent="0.25">
      <c r="A3" t="s">
        <v>0</v>
      </c>
      <c r="B3">
        <v>5</v>
      </c>
    </row>
    <row r="4" spans="1:2" x14ac:dyDescent="0.25">
      <c r="A4" t="s">
        <v>2</v>
      </c>
      <c r="B4">
        <v>130</v>
      </c>
    </row>
    <row r="5" spans="1:2" x14ac:dyDescent="0.25">
      <c r="A5" t="s">
        <v>3</v>
      </c>
      <c r="B5">
        <v>22</v>
      </c>
    </row>
    <row r="6" spans="1:2" x14ac:dyDescent="0.25">
      <c r="A6" t="s">
        <v>4</v>
      </c>
      <c r="B6">
        <f>B2*B5</f>
        <v>2640</v>
      </c>
    </row>
    <row r="7" spans="1:2" x14ac:dyDescent="0.25">
      <c r="A7" t="s">
        <v>5</v>
      </c>
      <c r="B7" s="1">
        <f>B4/B6</f>
        <v>4.924242424242424E-2</v>
      </c>
    </row>
    <row r="10" spans="1:2" x14ac:dyDescent="0.25">
      <c r="A10" t="s">
        <v>1</v>
      </c>
      <c r="B10">
        <v>120</v>
      </c>
    </row>
    <row r="11" spans="1:2" x14ac:dyDescent="0.25">
      <c r="A11" t="s">
        <v>0</v>
      </c>
      <c r="B11">
        <v>6</v>
      </c>
    </row>
    <row r="12" spans="1:2" x14ac:dyDescent="0.25">
      <c r="A12" t="s">
        <v>2</v>
      </c>
      <c r="B12">
        <v>130</v>
      </c>
    </row>
    <row r="13" spans="1:2" x14ac:dyDescent="0.25">
      <c r="A13" t="s">
        <v>6</v>
      </c>
      <c r="B13">
        <v>26</v>
      </c>
    </row>
    <row r="14" spans="1:2" x14ac:dyDescent="0.25">
      <c r="A14" t="s">
        <v>4</v>
      </c>
      <c r="B14">
        <f>B10*B13</f>
        <v>3120</v>
      </c>
    </row>
    <row r="15" spans="1:2" x14ac:dyDescent="0.25">
      <c r="A15" t="s">
        <v>5</v>
      </c>
      <c r="B15" s="1">
        <f>B12/B14</f>
        <v>4.1666666666666664E-2</v>
      </c>
    </row>
    <row r="18" spans="1:3" x14ac:dyDescent="0.25">
      <c r="A18" t="s">
        <v>1</v>
      </c>
      <c r="B18">
        <v>120</v>
      </c>
    </row>
    <row r="19" spans="1:3" x14ac:dyDescent="0.25">
      <c r="A19" t="s">
        <v>0</v>
      </c>
      <c r="B19">
        <v>7</v>
      </c>
    </row>
    <row r="20" spans="1:3" x14ac:dyDescent="0.25">
      <c r="A20" t="s">
        <v>2</v>
      </c>
      <c r="B20">
        <v>130</v>
      </c>
    </row>
    <row r="21" spans="1:3" x14ac:dyDescent="0.25">
      <c r="A21" t="s">
        <v>7</v>
      </c>
      <c r="B21">
        <v>30</v>
      </c>
      <c r="C21" t="s">
        <v>9</v>
      </c>
    </row>
    <row r="22" spans="1:3" x14ac:dyDescent="0.25">
      <c r="A22" t="s">
        <v>4</v>
      </c>
      <c r="B22">
        <f>B18*B21</f>
        <v>3600</v>
      </c>
    </row>
    <row r="23" spans="1:3" x14ac:dyDescent="0.25">
      <c r="A23" t="s">
        <v>5</v>
      </c>
      <c r="B23" s="1">
        <f>B20/B22</f>
        <v>3.6111111111111108E-2</v>
      </c>
    </row>
    <row r="26" spans="1:3" x14ac:dyDescent="0.25">
      <c r="A26" t="s">
        <v>1</v>
      </c>
      <c r="B26">
        <v>120</v>
      </c>
    </row>
    <row r="27" spans="1:3" x14ac:dyDescent="0.25">
      <c r="A27" t="s">
        <v>0</v>
      </c>
      <c r="B27">
        <v>5</v>
      </c>
    </row>
    <row r="28" spans="1:3" x14ac:dyDescent="0.25">
      <c r="A28" t="s">
        <v>2</v>
      </c>
      <c r="B28">
        <v>130</v>
      </c>
    </row>
    <row r="29" spans="1:3" x14ac:dyDescent="0.25">
      <c r="A29" t="s">
        <v>8</v>
      </c>
      <c r="B29">
        <f>B27*52</f>
        <v>260</v>
      </c>
      <c r="C29" t="s">
        <v>9</v>
      </c>
    </row>
    <row r="30" spans="1:3" x14ac:dyDescent="0.25">
      <c r="A30" t="s">
        <v>4</v>
      </c>
      <c r="B30">
        <f>B26*B29</f>
        <v>31200</v>
      </c>
    </row>
    <row r="31" spans="1:3" x14ac:dyDescent="0.25">
      <c r="A31" t="s">
        <v>5</v>
      </c>
      <c r="B31" s="1">
        <f>B28/B30</f>
        <v>4.1666666666666666E-3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zoomScale="120" zoomScaleNormal="120" workbookViewId="0">
      <selection activeCell="C10" sqref="C10:C13"/>
    </sheetView>
  </sheetViews>
  <sheetFormatPr baseColWidth="10" defaultRowHeight="15" x14ac:dyDescent="0.25"/>
  <cols>
    <col min="1" max="1" width="38.85546875" customWidth="1"/>
    <col min="2" max="2" width="16.140625" customWidth="1"/>
    <col min="3" max="3" width="36.140625" customWidth="1"/>
  </cols>
  <sheetData>
    <row r="2" spans="1:4" ht="18.75" x14ac:dyDescent="0.3">
      <c r="A2" s="64" t="s">
        <v>26</v>
      </c>
      <c r="B2" s="64"/>
    </row>
    <row r="4" spans="1:4" x14ac:dyDescent="0.25">
      <c r="A4" s="6" t="s">
        <v>25</v>
      </c>
      <c r="B4" s="6">
        <v>5</v>
      </c>
    </row>
    <row r="5" spans="1:4" x14ac:dyDescent="0.25">
      <c r="A5" s="6" t="s">
        <v>24</v>
      </c>
      <c r="B5" s="6">
        <v>10</v>
      </c>
    </row>
    <row r="6" spans="1:4" x14ac:dyDescent="0.25">
      <c r="A6" s="6" t="s">
        <v>23</v>
      </c>
      <c r="B6" s="6">
        <v>200</v>
      </c>
    </row>
    <row r="7" spans="1:4" x14ac:dyDescent="0.25">
      <c r="A7" s="6" t="s">
        <v>22</v>
      </c>
      <c r="B7" s="6">
        <f>B6+B4-B5</f>
        <v>195</v>
      </c>
    </row>
    <row r="8" spans="1:4" x14ac:dyDescent="0.25">
      <c r="A8" s="6" t="s">
        <v>21</v>
      </c>
      <c r="B8" s="6">
        <f>(B6+B7)/2</f>
        <v>197.5</v>
      </c>
    </row>
    <row r="10" spans="1:4" x14ac:dyDescent="0.25">
      <c r="A10" s="4" t="s">
        <v>20</v>
      </c>
      <c r="B10" s="5">
        <f>(B4+B5)/2/B6</f>
        <v>3.7499999999999999E-2</v>
      </c>
      <c r="C10" s="4" t="s">
        <v>19</v>
      </c>
      <c r="D10" s="2" t="s">
        <v>18</v>
      </c>
    </row>
    <row r="11" spans="1:4" x14ac:dyDescent="0.25">
      <c r="A11" t="s">
        <v>17</v>
      </c>
      <c r="B11" s="1">
        <f>(B4+B5)/B8</f>
        <v>7.5949367088607597E-2</v>
      </c>
      <c r="C11" t="s">
        <v>16</v>
      </c>
    </row>
    <row r="12" spans="1:4" x14ac:dyDescent="0.25">
      <c r="A12" t="s">
        <v>15</v>
      </c>
      <c r="B12" s="1">
        <f>B5/B8</f>
        <v>5.0632911392405063E-2</v>
      </c>
      <c r="C12" t="s">
        <v>14</v>
      </c>
      <c r="D12" s="2" t="s">
        <v>13</v>
      </c>
    </row>
    <row r="13" spans="1:4" x14ac:dyDescent="0.25">
      <c r="A13" s="3" t="s">
        <v>12</v>
      </c>
      <c r="B13" s="1">
        <f>B5/B7</f>
        <v>5.128205128205128E-2</v>
      </c>
      <c r="C13" t="s">
        <v>11</v>
      </c>
      <c r="D13" s="2" t="s">
        <v>10</v>
      </c>
    </row>
  </sheetData>
  <mergeCells count="1">
    <mergeCell ref="A2:B2"/>
  </mergeCells>
  <pageMargins left="0.7" right="0.7" top="0.75" bottom="0.75" header="0.3" footer="0.3"/>
  <pageSetup paperSize="9"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7" workbookViewId="0">
      <selection activeCell="C13" sqref="C13"/>
    </sheetView>
  </sheetViews>
  <sheetFormatPr baseColWidth="10" defaultRowHeight="15" x14ac:dyDescent="0.25"/>
  <cols>
    <col min="1" max="1" width="13.85546875" style="7" bestFit="1" customWidth="1"/>
    <col min="2" max="2" width="25" style="8" bestFit="1" customWidth="1"/>
    <col min="3" max="3" width="27.140625" style="8" customWidth="1"/>
    <col min="4" max="4" width="15.42578125" style="7" customWidth="1"/>
    <col min="5" max="16384" width="11.42578125" style="7"/>
  </cols>
  <sheetData>
    <row r="1" spans="1:4" x14ac:dyDescent="0.25">
      <c r="A1" s="65" t="s">
        <v>54</v>
      </c>
      <c r="B1" s="65"/>
      <c r="C1" s="65"/>
      <c r="D1" s="65"/>
    </row>
    <row r="2" spans="1:4" x14ac:dyDescent="0.25">
      <c r="A2" s="65"/>
      <c r="B2" s="65"/>
      <c r="C2" s="65"/>
      <c r="D2" s="65"/>
    </row>
    <row r="3" spans="1:4" x14ac:dyDescent="0.25">
      <c r="A3" s="14" t="s">
        <v>53</v>
      </c>
      <c r="B3" s="15" t="s">
        <v>52</v>
      </c>
      <c r="C3" s="15" t="s">
        <v>51</v>
      </c>
      <c r="D3" s="14" t="s">
        <v>50</v>
      </c>
    </row>
    <row r="4" spans="1:4" ht="45" x14ac:dyDescent="0.25">
      <c r="A4" s="11">
        <v>1</v>
      </c>
      <c r="B4" s="13" t="s">
        <v>49</v>
      </c>
      <c r="C4" s="12" t="s">
        <v>48</v>
      </c>
      <c r="D4" s="12" t="s">
        <v>47</v>
      </c>
    </row>
    <row r="5" spans="1:4" ht="60" x14ac:dyDescent="0.25">
      <c r="A5" s="11">
        <v>2</v>
      </c>
      <c r="B5" s="12" t="s">
        <v>46</v>
      </c>
      <c r="C5" s="12" t="s">
        <v>45</v>
      </c>
      <c r="D5" s="12" t="s">
        <v>44</v>
      </c>
    </row>
    <row r="6" spans="1:4" ht="30" x14ac:dyDescent="0.25">
      <c r="A6" s="11">
        <v>3</v>
      </c>
      <c r="B6" s="13" t="s">
        <v>43</v>
      </c>
      <c r="C6" s="12" t="s">
        <v>42</v>
      </c>
      <c r="D6" s="11">
        <v>123</v>
      </c>
    </row>
    <row r="7" spans="1:4" ht="30" x14ac:dyDescent="0.25">
      <c r="A7" s="11">
        <v>4</v>
      </c>
      <c r="B7" s="12" t="s">
        <v>41</v>
      </c>
      <c r="C7" s="12" t="s">
        <v>40</v>
      </c>
      <c r="D7" s="11">
        <f>(D6+1)/2</f>
        <v>62</v>
      </c>
    </row>
    <row r="8" spans="1:4" ht="60" x14ac:dyDescent="0.25">
      <c r="A8" s="11">
        <v>5</v>
      </c>
      <c r="B8" s="12" t="s">
        <v>39</v>
      </c>
      <c r="C8" s="12" t="s">
        <v>38</v>
      </c>
      <c r="D8" s="11" t="s">
        <v>37</v>
      </c>
    </row>
    <row r="9" spans="1:4" ht="45" x14ac:dyDescent="0.25">
      <c r="A9" s="11">
        <v>6</v>
      </c>
      <c r="B9" s="12" t="s">
        <v>36</v>
      </c>
      <c r="C9" s="12" t="s">
        <v>35</v>
      </c>
      <c r="D9" s="11">
        <v>20</v>
      </c>
    </row>
    <row r="10" spans="1:4" ht="30" x14ac:dyDescent="0.25">
      <c r="A10" s="11">
        <v>7</v>
      </c>
      <c r="B10" s="12" t="s">
        <v>34</v>
      </c>
      <c r="C10" s="12" t="s">
        <v>33</v>
      </c>
      <c r="D10" s="11">
        <f>D7-41</f>
        <v>21</v>
      </c>
    </row>
    <row r="11" spans="1:4" ht="30" x14ac:dyDescent="0.25">
      <c r="A11" s="11">
        <v>8</v>
      </c>
      <c r="B11" s="12" t="s">
        <v>32</v>
      </c>
      <c r="C11" s="12" t="s">
        <v>31</v>
      </c>
      <c r="D11" s="11">
        <f>29-20</f>
        <v>9</v>
      </c>
    </row>
    <row r="12" spans="1:4" ht="30" x14ac:dyDescent="0.25">
      <c r="A12" s="11">
        <v>9</v>
      </c>
      <c r="B12" s="12" t="s">
        <v>30</v>
      </c>
      <c r="C12" s="12" t="s">
        <v>29</v>
      </c>
      <c r="D12" s="11">
        <v>45</v>
      </c>
    </row>
    <row r="13" spans="1:4" ht="45" x14ac:dyDescent="0.25">
      <c r="A13" s="11">
        <v>10</v>
      </c>
      <c r="B13" s="10" t="s">
        <v>28</v>
      </c>
      <c r="C13" s="52" t="s">
        <v>27</v>
      </c>
      <c r="D13" s="9">
        <f>D9+(D10*D11/D12)</f>
        <v>24.2</v>
      </c>
    </row>
  </sheetData>
  <mergeCells count="1">
    <mergeCell ref="A1:D2"/>
  </mergeCells>
  <pageMargins left="0.7" right="0.7" top="0.75" bottom="0.75" header="0.3" footer="0.3"/>
  <pageSetup paperSize="9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3"/>
  <sheetViews>
    <sheetView workbookViewId="0">
      <selection activeCell="F13" sqref="F13"/>
    </sheetView>
  </sheetViews>
  <sheetFormatPr baseColWidth="10" defaultRowHeight="15" x14ac:dyDescent="0.25"/>
  <cols>
    <col min="1" max="1" width="12.5703125" bestFit="1" customWidth="1"/>
    <col min="2" max="3" width="14.85546875" bestFit="1" customWidth="1"/>
    <col min="6" max="6" width="18.42578125" customWidth="1"/>
  </cols>
  <sheetData>
    <row r="5" spans="1:6" x14ac:dyDescent="0.25">
      <c r="A5" t="s">
        <v>64</v>
      </c>
      <c r="B5" t="s">
        <v>59</v>
      </c>
      <c r="C5" t="s">
        <v>57</v>
      </c>
      <c r="D5" t="s">
        <v>56</v>
      </c>
    </row>
    <row r="6" spans="1:6" x14ac:dyDescent="0.25">
      <c r="C6" t="s">
        <v>55</v>
      </c>
      <c r="D6" t="s">
        <v>58</v>
      </c>
    </row>
    <row r="8" spans="1:6" x14ac:dyDescent="0.25">
      <c r="A8" t="s">
        <v>65</v>
      </c>
      <c r="B8" t="s">
        <v>60</v>
      </c>
      <c r="C8" t="s">
        <v>55</v>
      </c>
      <c r="D8" t="s">
        <v>61</v>
      </c>
    </row>
    <row r="9" spans="1:6" x14ac:dyDescent="0.25">
      <c r="C9" t="s">
        <v>62</v>
      </c>
      <c r="D9" t="s">
        <v>63</v>
      </c>
    </row>
    <row r="12" spans="1:6" ht="45" x14ac:dyDescent="0.25">
      <c r="A12" s="16" t="s">
        <v>66</v>
      </c>
      <c r="B12" s="16" t="s">
        <v>67</v>
      </c>
      <c r="C12" s="16" t="s">
        <v>68</v>
      </c>
      <c r="D12" s="16" t="s">
        <v>69</v>
      </c>
      <c r="E12" s="16" t="s">
        <v>70</v>
      </c>
      <c r="F12" s="16" t="s">
        <v>71</v>
      </c>
    </row>
    <row r="13" spans="1:6" x14ac:dyDescent="0.25">
      <c r="A13" s="17">
        <v>43175</v>
      </c>
      <c r="B13" s="18">
        <v>0.33333333333333331</v>
      </c>
      <c r="C13" s="18">
        <v>0.66666666666666663</v>
      </c>
      <c r="D13" s="18">
        <v>0.25</v>
      </c>
      <c r="E13" s="18">
        <v>0.85416666666666663</v>
      </c>
      <c r="F13" s="19">
        <f t="shared" ref="F13" si="0">(MIN(MAX((B13-D13)-0.5/24,0),2/24)*25%)+(MAX((B13-D13)-2.5/24,0))+(MIN(MAX((E13-C13)-0.5/24,0),2/24)*25%)+(MAX((E13-C13)-2.5/24,0))</f>
        <v>0.11979166666666666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C7" sqref="C7"/>
    </sheetView>
  </sheetViews>
  <sheetFormatPr baseColWidth="10" defaultRowHeight="12.75" x14ac:dyDescent="0.2"/>
  <cols>
    <col min="1" max="2" width="11.42578125" style="20"/>
    <col min="3" max="3" width="15" style="20" bestFit="1" customWidth="1"/>
    <col min="4" max="16384" width="11.42578125" style="20"/>
  </cols>
  <sheetData>
    <row r="1" spans="1:5" x14ac:dyDescent="0.2">
      <c r="A1" s="30" t="s">
        <v>79</v>
      </c>
    </row>
    <row r="2" spans="1:5" x14ac:dyDescent="0.2">
      <c r="A2" s="20" t="s">
        <v>78</v>
      </c>
      <c r="C2" s="33"/>
      <c r="D2" s="32" t="s">
        <v>76</v>
      </c>
    </row>
    <row r="3" spans="1:5" x14ac:dyDescent="0.2">
      <c r="A3" s="20" t="s">
        <v>77</v>
      </c>
      <c r="C3" s="33"/>
      <c r="D3" s="32" t="s">
        <v>76</v>
      </c>
      <c r="E3" s="30"/>
    </row>
    <row r="4" spans="1:5" x14ac:dyDescent="0.2">
      <c r="A4" s="20" t="s">
        <v>75</v>
      </c>
      <c r="B4" s="20" t="s">
        <v>74</v>
      </c>
      <c r="C4" s="20">
        <f>DATEDIF($C$2,$C$3,"y")</f>
        <v>0</v>
      </c>
      <c r="E4" s="31"/>
    </row>
    <row r="5" spans="1:5" x14ac:dyDescent="0.2">
      <c r="B5" s="20" t="s">
        <v>73</v>
      </c>
      <c r="C5" s="20">
        <f>DATEDIF($C$2,$C$3,"ym")</f>
        <v>0</v>
      </c>
    </row>
    <row r="6" spans="1:5" x14ac:dyDescent="0.2">
      <c r="B6" s="20" t="s">
        <v>72</v>
      </c>
      <c r="C6" s="20">
        <f>DATEDIF($C$2,$C$3,"md")</f>
        <v>0</v>
      </c>
      <c r="E6" s="30"/>
    </row>
    <row r="8" spans="1:5" ht="12" customHeight="1" x14ac:dyDescent="0.2"/>
    <row r="10" spans="1:5" ht="15" x14ac:dyDescent="0.25">
      <c r="B10" s="26"/>
    </row>
    <row r="11" spans="1:5" ht="15" x14ac:dyDescent="0.25">
      <c r="B11" s="26"/>
    </row>
    <row r="12" spans="1:5" ht="15" x14ac:dyDescent="0.25">
      <c r="B12" s="26"/>
    </row>
    <row r="13" spans="1:5" x14ac:dyDescent="0.2">
      <c r="B13" s="24"/>
    </row>
    <row r="17" spans="2:7" ht="15" x14ac:dyDescent="0.25">
      <c r="B17" s="26"/>
    </row>
    <row r="18" spans="2:7" ht="15" x14ac:dyDescent="0.25">
      <c r="B18" s="26"/>
    </row>
    <row r="19" spans="2:7" ht="15" x14ac:dyDescent="0.25">
      <c r="B19" s="26"/>
    </row>
    <row r="20" spans="2:7" ht="15" x14ac:dyDescent="0.25">
      <c r="B20" s="26"/>
    </row>
    <row r="21" spans="2:7" ht="15" x14ac:dyDescent="0.25">
      <c r="B21" s="26"/>
    </row>
    <row r="22" spans="2:7" ht="15" x14ac:dyDescent="0.25">
      <c r="B22" s="26"/>
    </row>
    <row r="23" spans="2:7" ht="15" x14ac:dyDescent="0.25">
      <c r="B23" s="26"/>
    </row>
    <row r="24" spans="2:7" ht="15" x14ac:dyDescent="0.25">
      <c r="B24" s="26"/>
    </row>
    <row r="25" spans="2:7" ht="15" x14ac:dyDescent="0.25">
      <c r="B25" s="26"/>
    </row>
    <row r="26" spans="2:7" ht="15" x14ac:dyDescent="0.25">
      <c r="B26" s="26"/>
    </row>
    <row r="27" spans="2:7" ht="15" x14ac:dyDescent="0.25">
      <c r="B27" s="26"/>
    </row>
    <row r="28" spans="2:7" ht="15" x14ac:dyDescent="0.25">
      <c r="B28" s="26"/>
    </row>
    <row r="29" spans="2:7" x14ac:dyDescent="0.2">
      <c r="B29" s="24"/>
    </row>
    <row r="31" spans="2:7" x14ac:dyDescent="0.2">
      <c r="C31" s="23"/>
      <c r="G31" s="22"/>
    </row>
    <row r="32" spans="2:7" x14ac:dyDescent="0.2">
      <c r="G32" s="22"/>
    </row>
    <row r="33" spans="1:10" x14ac:dyDescent="0.2">
      <c r="G33" s="22"/>
    </row>
    <row r="34" spans="1:10" x14ac:dyDescent="0.2">
      <c r="G34" s="22"/>
    </row>
    <row r="35" spans="1:10" ht="15" x14ac:dyDescent="0.25">
      <c r="C35" s="28"/>
      <c r="G35" s="22"/>
    </row>
    <row r="36" spans="1:10" x14ac:dyDescent="0.2">
      <c r="A36" s="27"/>
      <c r="C36" s="29"/>
    </row>
    <row r="37" spans="1:10" ht="15" x14ac:dyDescent="0.25">
      <c r="C37" s="28"/>
      <c r="G37" s="22"/>
    </row>
    <row r="38" spans="1:10" x14ac:dyDescent="0.2">
      <c r="C38" s="23"/>
      <c r="G38" s="22"/>
    </row>
    <row r="39" spans="1:10" x14ac:dyDescent="0.2">
      <c r="G39" s="22"/>
    </row>
    <row r="40" spans="1:10" x14ac:dyDescent="0.2">
      <c r="G40" s="22"/>
    </row>
    <row r="41" spans="1:10" ht="15" x14ac:dyDescent="0.25">
      <c r="C41" s="26"/>
      <c r="G41" s="22"/>
    </row>
    <row r="42" spans="1:10" ht="15" x14ac:dyDescent="0.25">
      <c r="C42" s="26"/>
      <c r="G42" s="22"/>
      <c r="H42" s="21"/>
      <c r="I42" s="21"/>
      <c r="J42" s="21"/>
    </row>
    <row r="43" spans="1:10" ht="15" x14ac:dyDescent="0.25">
      <c r="A43" s="27"/>
      <c r="C43" s="26"/>
      <c r="G43" s="22"/>
      <c r="H43" s="21"/>
      <c r="I43" s="21"/>
      <c r="J43" s="21"/>
    </row>
    <row r="44" spans="1:10" ht="15" x14ac:dyDescent="0.25">
      <c r="A44" s="27"/>
      <c r="C44" s="26"/>
      <c r="D44" s="25"/>
      <c r="G44" s="22"/>
      <c r="H44" s="21"/>
      <c r="I44" s="21"/>
      <c r="J44" s="21"/>
    </row>
    <row r="45" spans="1:10" x14ac:dyDescent="0.2">
      <c r="C45" s="24"/>
      <c r="G45" s="22"/>
      <c r="H45" s="21"/>
      <c r="I45" s="21"/>
      <c r="J45" s="21"/>
    </row>
    <row r="46" spans="1:10" ht="12" customHeight="1" x14ac:dyDescent="0.2">
      <c r="C46" s="23"/>
      <c r="G46" s="22"/>
      <c r="H46" s="21"/>
      <c r="I46" s="21"/>
      <c r="J46" s="21"/>
    </row>
    <row r="47" spans="1:10" x14ac:dyDescent="0.2">
      <c r="G47" s="22"/>
      <c r="H47" s="21"/>
      <c r="I47" s="21"/>
      <c r="J47" s="21"/>
    </row>
    <row r="48" spans="1:10" x14ac:dyDescent="0.2">
      <c r="G48" s="22"/>
      <c r="H48" s="21"/>
      <c r="I48" s="21"/>
      <c r="J48" s="21"/>
    </row>
    <row r="49" spans="7:10" x14ac:dyDescent="0.2">
      <c r="G49" s="22"/>
      <c r="H49" s="21"/>
      <c r="I49" s="21"/>
      <c r="J49" s="21"/>
    </row>
    <row r="50" spans="7:10" x14ac:dyDescent="0.2">
      <c r="G50" s="22"/>
      <c r="H50" s="21"/>
      <c r="I50" s="21"/>
      <c r="J50" s="21"/>
    </row>
    <row r="51" spans="7:10" x14ac:dyDescent="0.2">
      <c r="G51" s="22"/>
      <c r="H51" s="21"/>
      <c r="I51" s="21"/>
      <c r="J51" s="21"/>
    </row>
  </sheetData>
  <pageMargins left="0.31496062992125984" right="0.35433070866141736" top="0.98425196850393704" bottom="0.62992125984251968" header="0.51181102362204722" footer="0.51181102362204722"/>
  <pageSetup paperSize="9" scale="92" orientation="portrait" horizontalDpi="4294967293" r:id="rId1"/>
  <headerFooter alignWithMargins="0">
    <oddFooter>&amp;L&amp;F&amp;Cactualisation le &amp;D-&amp;T&amp;R&amp;P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fitToPage="1"/>
  </sheetPr>
  <dimension ref="A1:F21"/>
  <sheetViews>
    <sheetView zoomScale="120" zoomScaleNormal="120" workbookViewId="0">
      <selection activeCell="B11" sqref="B11"/>
    </sheetView>
  </sheetViews>
  <sheetFormatPr baseColWidth="10" defaultRowHeight="15" x14ac:dyDescent="0.25"/>
  <cols>
    <col min="1" max="1" width="19.85546875" style="34" customWidth="1"/>
    <col min="2" max="2" width="9" style="34" customWidth="1"/>
    <col min="3" max="3" width="9.7109375" style="34" bestFit="1" customWidth="1"/>
    <col min="4" max="5" width="13" style="34" customWidth="1"/>
    <col min="6" max="6" width="14.140625" style="34" customWidth="1"/>
    <col min="7" max="16384" width="11.42578125" style="34"/>
  </cols>
  <sheetData>
    <row r="1" spans="1:6" ht="33" customHeight="1" x14ac:dyDescent="0.25">
      <c r="A1" s="66" t="s">
        <v>93</v>
      </c>
      <c r="B1" s="66"/>
      <c r="C1" s="67" t="s">
        <v>92</v>
      </c>
      <c r="D1" s="68" t="s">
        <v>91</v>
      </c>
      <c r="E1" s="68"/>
    </row>
    <row r="2" spans="1:6" x14ac:dyDescent="0.25">
      <c r="A2" s="66"/>
      <c r="B2" s="66"/>
      <c r="C2" s="67"/>
      <c r="D2" s="45" t="s">
        <v>90</v>
      </c>
      <c r="E2" s="45" t="s">
        <v>89</v>
      </c>
    </row>
    <row r="3" spans="1:6" x14ac:dyDescent="0.25">
      <c r="A3" s="41">
        <v>0</v>
      </c>
      <c r="B3" s="41">
        <f>313.33+(120*CHARGE)</f>
        <v>673.32999999999993</v>
      </c>
      <c r="C3" s="44">
        <f>1/20</f>
        <v>0.05</v>
      </c>
      <c r="D3" s="41">
        <f>IF(SALNET&gt;B3,(B3-A3)*C3,IF(ISBLANK(SALNET),0,0))</f>
        <v>33.666499999999999</v>
      </c>
      <c r="E3" s="41">
        <f>D3</f>
        <v>33.666499999999999</v>
      </c>
    </row>
    <row r="4" spans="1:6" x14ac:dyDescent="0.25">
      <c r="A4" s="41">
        <f>B3</f>
        <v>673.32999999999993</v>
      </c>
      <c r="B4" s="41">
        <f>611.66+(120*CHARGE)</f>
        <v>971.66</v>
      </c>
      <c r="C4" s="42">
        <f>1/10</f>
        <v>0.1</v>
      </c>
      <c r="D4" s="41">
        <f>IF(SALNET&gt;B4,(B4-A4)*C4,IF(SALNET&gt;A4,(SALNET-A4)*C4,0))</f>
        <v>29.833000000000006</v>
      </c>
      <c r="E4" s="41">
        <f t="shared" ref="E4:E9" si="0">D4+E3</f>
        <v>63.499500000000005</v>
      </c>
    </row>
    <row r="5" spans="1:6" x14ac:dyDescent="0.25">
      <c r="A5" s="41">
        <f>B4</f>
        <v>971.66</v>
      </c>
      <c r="B5" s="41">
        <f>911.66+(120*CHARGE)</f>
        <v>1271.6599999999999</v>
      </c>
      <c r="C5" s="42">
        <f>1/5</f>
        <v>0.2</v>
      </c>
      <c r="D5" s="41">
        <f>IF(SALNET&gt;B5,(B5-A5)*C5,IF(SALNET&gt;A5,(SALNET-A5)*C5,0))</f>
        <v>59.999999999999979</v>
      </c>
      <c r="E5" s="41">
        <f t="shared" si="0"/>
        <v>123.49949999999998</v>
      </c>
    </row>
    <row r="6" spans="1:6" x14ac:dyDescent="0.25">
      <c r="A6" s="41">
        <f>B5</f>
        <v>1271.6599999999999</v>
      </c>
      <c r="B6" s="41">
        <f>1210.83+(120*CHARGE)</f>
        <v>1570.83</v>
      </c>
      <c r="C6" s="42">
        <f>1/4</f>
        <v>0.25</v>
      </c>
      <c r="D6" s="41">
        <f>IF(SALNET&gt;B6,(B6-A6)*C6,IF(SALNET&gt;A6,(SALNET-A6)*C6,0))</f>
        <v>74.792500000000018</v>
      </c>
      <c r="E6" s="41">
        <f t="shared" si="0"/>
        <v>198.292</v>
      </c>
    </row>
    <row r="7" spans="1:6" x14ac:dyDescent="0.25">
      <c r="A7" s="41">
        <f>B6</f>
        <v>1570.83</v>
      </c>
      <c r="B7" s="41">
        <f>1509.16+(120*CHARGE)</f>
        <v>1869.16</v>
      </c>
      <c r="C7" s="42">
        <f>1/3</f>
        <v>0.33333333333333331</v>
      </c>
      <c r="D7" s="41">
        <f>IF(SALNET&gt;B7,(B7-A7)*C7,IF(SALNET&gt;A7,(SALNET-A7)*C7,0))</f>
        <v>99.443333333333385</v>
      </c>
      <c r="E7" s="41">
        <f t="shared" si="0"/>
        <v>297.73533333333341</v>
      </c>
      <c r="F7" s="43"/>
    </row>
    <row r="8" spans="1:6" x14ac:dyDescent="0.25">
      <c r="A8" s="41">
        <f>B7</f>
        <v>1869.16</v>
      </c>
      <c r="B8" s="41">
        <f>1813.33+(120*CHARGE)</f>
        <v>2173.33</v>
      </c>
      <c r="C8" s="42">
        <f>2/3</f>
        <v>0.66666666666666663</v>
      </c>
      <c r="D8" s="41">
        <f>IF(SALNET&gt;B8,(B8-A8)*C8,IF(SALNET&gt;A8,(SALNET-A8)*C8,0))</f>
        <v>87.226666666666603</v>
      </c>
      <c r="E8" s="41">
        <f t="shared" si="0"/>
        <v>384.96199999999999</v>
      </c>
    </row>
    <row r="9" spans="1:6" x14ac:dyDescent="0.25">
      <c r="A9" s="41" t="s">
        <v>88</v>
      </c>
      <c r="B9" s="41">
        <f>1813.33+(120*CHARGE)</f>
        <v>2173.33</v>
      </c>
      <c r="C9" s="41" t="s">
        <v>87</v>
      </c>
      <c r="D9" s="41">
        <f>IF(SALNET&gt;B9,SALNET-B8,0)</f>
        <v>0</v>
      </c>
      <c r="E9" s="40">
        <f t="shared" si="0"/>
        <v>384.96199999999999</v>
      </c>
    </row>
    <row r="11" spans="1:6" x14ac:dyDescent="0.25">
      <c r="A11" s="34" t="s">
        <v>86</v>
      </c>
      <c r="B11" s="39">
        <v>2000</v>
      </c>
    </row>
    <row r="12" spans="1:6" x14ac:dyDescent="0.25">
      <c r="A12" s="34" t="s">
        <v>85</v>
      </c>
      <c r="B12" s="39">
        <v>3</v>
      </c>
      <c r="C12" s="38"/>
    </row>
    <row r="13" spans="1:6" x14ac:dyDescent="0.25">
      <c r="A13" s="34" t="s">
        <v>84</v>
      </c>
      <c r="B13" s="37">
        <v>545.48</v>
      </c>
    </row>
    <row r="14" spans="1:6" x14ac:dyDescent="0.25">
      <c r="A14" s="34" t="s">
        <v>83</v>
      </c>
      <c r="B14" s="36">
        <f>SALNET-B13-E9</f>
        <v>1069.558</v>
      </c>
    </row>
    <row r="15" spans="1:6" x14ac:dyDescent="0.25">
      <c r="A15" s="34" t="s">
        <v>82</v>
      </c>
      <c r="B15" s="36">
        <f>E9</f>
        <v>384.96199999999999</v>
      </c>
    </row>
    <row r="20" spans="1:1" x14ac:dyDescent="0.25">
      <c r="A20" s="34" t="s">
        <v>81</v>
      </c>
    </row>
    <row r="21" spans="1:1" ht="16.5" x14ac:dyDescent="0.25">
      <c r="A21" s="35" t="s">
        <v>80</v>
      </c>
    </row>
  </sheetData>
  <mergeCells count="3">
    <mergeCell ref="A1:B2"/>
    <mergeCell ref="C1:C2"/>
    <mergeCell ref="D1:E1"/>
  </mergeCells>
  <hyperlinks>
    <hyperlink ref="A21" r:id="rId1"/>
  </hyperlinks>
  <pageMargins left="0.78740157499999996" right="0.78740157499999996" top="0.984251969" bottom="0.984251969" header="0.4921259845" footer="0.4921259845"/>
  <pageSetup paperSize="9" orientation="portrait" horizontalDpi="4294967293" verticalDpi="0" r:id="rId2"/>
  <headerFooter alignWithMargins="0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activeCell="A4" sqref="A4"/>
    </sheetView>
  </sheetViews>
  <sheetFormatPr baseColWidth="10" defaultRowHeight="15" x14ac:dyDescent="0.25"/>
  <cols>
    <col min="2" max="2" width="1.7109375" customWidth="1"/>
  </cols>
  <sheetData>
    <row r="2" spans="1:4" x14ac:dyDescent="0.25">
      <c r="A2" s="70" t="s">
        <v>94</v>
      </c>
      <c r="B2" s="70"/>
      <c r="C2" s="70"/>
      <c r="D2" s="70"/>
    </row>
    <row r="4" spans="1:4" ht="15.75" thickBot="1" x14ac:dyDescent="0.3">
      <c r="A4" s="49" t="s">
        <v>96</v>
      </c>
      <c r="B4" s="49" t="s">
        <v>95</v>
      </c>
      <c r="C4" s="50">
        <v>52</v>
      </c>
      <c r="D4" s="47" t="e">
        <f>A4*C4/A5</f>
        <v>#VALUE!</v>
      </c>
    </row>
    <row r="5" spans="1:4" x14ac:dyDescent="0.25">
      <c r="A5" s="69">
        <v>12</v>
      </c>
      <c r="B5" s="69"/>
      <c r="C5" s="69"/>
    </row>
    <row r="8" spans="1:4" x14ac:dyDescent="0.25">
      <c r="A8" s="70" t="s">
        <v>97</v>
      </c>
      <c r="B8" s="70"/>
      <c r="C8" s="70"/>
      <c r="D8" s="70"/>
    </row>
    <row r="10" spans="1:4" ht="35.25" customHeight="1" thickBot="1" x14ac:dyDescent="0.3">
      <c r="A10" s="51" t="s">
        <v>98</v>
      </c>
      <c r="B10" s="50" t="s">
        <v>95</v>
      </c>
      <c r="C10" s="50">
        <v>30</v>
      </c>
      <c r="D10" t="e">
        <f>ROUNDUP(A10*C10/A11,0)</f>
        <v>#VALUE!</v>
      </c>
    </row>
    <row r="11" spans="1:4" x14ac:dyDescent="0.25">
      <c r="A11" s="71">
        <v>48</v>
      </c>
      <c r="B11" s="71"/>
      <c r="C11" s="71"/>
    </row>
  </sheetData>
  <mergeCells count="4">
    <mergeCell ref="A5:C5"/>
    <mergeCell ref="A2:D2"/>
    <mergeCell ref="A8:D8"/>
    <mergeCell ref="A11:C11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topLeftCell="A4" workbookViewId="0">
      <selection activeCell="A5" sqref="A5"/>
    </sheetView>
  </sheetViews>
  <sheetFormatPr baseColWidth="10" defaultRowHeight="15" x14ac:dyDescent="0.25"/>
  <cols>
    <col min="1" max="1" width="22" bestFit="1" customWidth="1"/>
    <col min="2" max="2" width="2.28515625" customWidth="1"/>
    <col min="3" max="3" width="14" bestFit="1" customWidth="1"/>
    <col min="4" max="4" width="2.28515625" customWidth="1"/>
    <col min="6" max="6" width="2.5703125" customWidth="1"/>
  </cols>
  <sheetData>
    <row r="2" spans="1:12" x14ac:dyDescent="0.25">
      <c r="A2" s="79" t="s">
        <v>99</v>
      </c>
      <c r="B2" s="79"/>
      <c r="C2" s="79"/>
      <c r="D2" s="79"/>
      <c r="E2" s="79"/>
      <c r="F2" s="79"/>
      <c r="G2" s="79"/>
      <c r="H2" s="79"/>
      <c r="I2" s="79"/>
    </row>
    <row r="3" spans="1:12" ht="15.75" thickBot="1" x14ac:dyDescent="0.3">
      <c r="A3" s="49" t="s">
        <v>100</v>
      </c>
      <c r="B3" s="49" t="s">
        <v>95</v>
      </c>
      <c r="C3" s="81" t="s">
        <v>127</v>
      </c>
      <c r="D3" s="81"/>
      <c r="E3" s="81"/>
      <c r="F3" s="48" t="s">
        <v>106</v>
      </c>
      <c r="G3" t="e">
        <f>A3*C3/A4</f>
        <v>#VALUE!</v>
      </c>
    </row>
    <row r="4" spans="1:12" x14ac:dyDescent="0.25">
      <c r="A4" s="69" t="s">
        <v>128</v>
      </c>
      <c r="B4" s="69"/>
      <c r="C4" s="69"/>
      <c r="D4" s="69"/>
      <c r="E4" s="69"/>
      <c r="F4" s="48"/>
    </row>
    <row r="6" spans="1:12" x14ac:dyDescent="0.25">
      <c r="A6" s="78" t="s">
        <v>101</v>
      </c>
      <c r="B6" s="78"/>
      <c r="C6" s="78"/>
      <c r="D6" s="78"/>
      <c r="E6" s="78"/>
      <c r="F6" s="78"/>
      <c r="G6" s="78"/>
    </row>
    <row r="7" spans="1:12" ht="15.75" thickBot="1" x14ac:dyDescent="0.3">
      <c r="A7" s="54" t="s">
        <v>122</v>
      </c>
      <c r="B7" s="49" t="s">
        <v>95</v>
      </c>
      <c r="C7" s="58">
        <v>0.5</v>
      </c>
      <c r="D7" s="55" t="s">
        <v>106</v>
      </c>
      <c r="E7" s="47" t="e">
        <f>A7*C7/A8</f>
        <v>#VALUE!</v>
      </c>
      <c r="F7" s="47"/>
    </row>
    <row r="8" spans="1:12" x14ac:dyDescent="0.25">
      <c r="A8" s="71">
        <v>91.25</v>
      </c>
      <c r="B8" s="71"/>
      <c r="C8" s="71"/>
      <c r="D8" s="46"/>
    </row>
    <row r="10" spans="1:12" x14ac:dyDescent="0.25">
      <c r="A10" s="78" t="s">
        <v>103</v>
      </c>
      <c r="B10" s="78"/>
      <c r="C10" s="78"/>
      <c r="D10" s="78"/>
      <c r="E10" s="78"/>
      <c r="F10" s="78"/>
      <c r="G10" s="78"/>
      <c r="J10" s="72" t="s">
        <v>121</v>
      </c>
      <c r="K10" s="73"/>
      <c r="L10" s="74"/>
    </row>
    <row r="11" spans="1:12" ht="15.75" thickBot="1" x14ac:dyDescent="0.3">
      <c r="A11" s="49" t="s">
        <v>104</v>
      </c>
      <c r="B11" t="s">
        <v>123</v>
      </c>
      <c r="C11" t="s">
        <v>105</v>
      </c>
      <c r="D11" t="s">
        <v>112</v>
      </c>
      <c r="E11" s="59">
        <v>7</v>
      </c>
      <c r="F11" s="59" t="s">
        <v>124</v>
      </c>
      <c r="G11" s="53">
        <v>0.9</v>
      </c>
      <c r="H11" t="e">
        <f>A11/A12*(C11-E11)*G11</f>
        <v>#VALUE!</v>
      </c>
      <c r="J11" s="75"/>
      <c r="K11" s="76"/>
      <c r="L11" s="77"/>
    </row>
    <row r="12" spans="1:12" x14ac:dyDescent="0.25">
      <c r="A12" s="46">
        <v>30</v>
      </c>
      <c r="C12" s="56"/>
      <c r="E12" t="s">
        <v>126</v>
      </c>
    </row>
    <row r="14" spans="1:12" x14ac:dyDescent="0.25">
      <c r="A14" s="78" t="s">
        <v>107</v>
      </c>
      <c r="B14" s="78"/>
      <c r="C14" s="78"/>
      <c r="D14" s="78"/>
      <c r="E14" s="78"/>
      <c r="F14" s="78"/>
      <c r="G14" s="78"/>
    </row>
    <row r="15" spans="1:12" x14ac:dyDescent="0.25">
      <c r="A15" t="s">
        <v>108</v>
      </c>
      <c r="B15" t="s">
        <v>95</v>
      </c>
      <c r="C15" t="s">
        <v>105</v>
      </c>
      <c r="D15" t="s">
        <v>112</v>
      </c>
      <c r="E15" s="59">
        <v>7</v>
      </c>
      <c r="F15" t="s">
        <v>125</v>
      </c>
      <c r="G15" s="47" t="e">
        <f>E7*(C15-E15)</f>
        <v>#VALUE!</v>
      </c>
    </row>
    <row r="16" spans="1:12" x14ac:dyDescent="0.25">
      <c r="C16" s="56"/>
      <c r="E16" t="s">
        <v>126</v>
      </c>
    </row>
    <row r="18" spans="1:12" x14ac:dyDescent="0.25">
      <c r="A18" s="80" t="s">
        <v>110</v>
      </c>
      <c r="B18" s="80"/>
      <c r="C18" s="80"/>
      <c r="D18" s="80"/>
      <c r="E18" s="80"/>
      <c r="F18" s="80"/>
      <c r="G18" s="80"/>
      <c r="H18" s="80"/>
      <c r="I18" s="80"/>
    </row>
    <row r="19" spans="1:12" ht="30" x14ac:dyDescent="0.25">
      <c r="A19" s="57" t="s">
        <v>111</v>
      </c>
      <c r="B19" t="s">
        <v>112</v>
      </c>
      <c r="C19" t="s">
        <v>113</v>
      </c>
      <c r="D19" t="s">
        <v>106</v>
      </c>
      <c r="E19" s="47" t="e">
        <f>H11-G15</f>
        <v>#VALUE!</v>
      </c>
      <c r="F19" s="47"/>
    </row>
    <row r="21" spans="1:12" x14ac:dyDescent="0.25">
      <c r="A21" s="79" t="s">
        <v>114</v>
      </c>
      <c r="B21" s="79"/>
      <c r="C21" s="79"/>
      <c r="D21" s="79"/>
      <c r="E21" s="79"/>
      <c r="F21" s="79"/>
      <c r="G21" s="79"/>
      <c r="H21" s="79"/>
      <c r="I21" s="79"/>
      <c r="K21" s="60" t="s">
        <v>119</v>
      </c>
      <c r="L21" s="61"/>
    </row>
    <row r="22" spans="1:12" x14ac:dyDescent="0.25">
      <c r="A22" t="s">
        <v>115</v>
      </c>
      <c r="B22" t="s">
        <v>106</v>
      </c>
      <c r="C22" t="s">
        <v>108</v>
      </c>
      <c r="D22" t="s">
        <v>123</v>
      </c>
      <c r="E22" t="s">
        <v>105</v>
      </c>
      <c r="F22" t="s">
        <v>112</v>
      </c>
      <c r="G22">
        <v>3</v>
      </c>
      <c r="H22" t="s">
        <v>125</v>
      </c>
      <c r="I22" t="e">
        <f>E7*(C3-G22)</f>
        <v>#VALUE!</v>
      </c>
      <c r="K22" s="62" t="s">
        <v>120</v>
      </c>
      <c r="L22" s="63"/>
    </row>
    <row r="23" spans="1:12" x14ac:dyDescent="0.25">
      <c r="E23" s="56"/>
      <c r="F23" s="56"/>
      <c r="G23" t="s">
        <v>126</v>
      </c>
    </row>
    <row r="24" spans="1:12" x14ac:dyDescent="0.25">
      <c r="A24" t="s">
        <v>116</v>
      </c>
      <c r="B24" t="s">
        <v>106</v>
      </c>
      <c r="C24" t="s">
        <v>117</v>
      </c>
      <c r="D24" t="s">
        <v>95</v>
      </c>
      <c r="E24">
        <f>1-0.067</f>
        <v>0.93300000000000005</v>
      </c>
      <c r="G24" t="e">
        <f>I22*E24</f>
        <v>#VALUE!</v>
      </c>
    </row>
    <row r="25" spans="1:12" x14ac:dyDescent="0.25">
      <c r="E25" s="56" t="s">
        <v>118</v>
      </c>
      <c r="F25" s="56"/>
    </row>
  </sheetData>
  <mergeCells count="10">
    <mergeCell ref="A2:I2"/>
    <mergeCell ref="J10:L11"/>
    <mergeCell ref="A14:G14"/>
    <mergeCell ref="A21:I21"/>
    <mergeCell ref="A18:I18"/>
    <mergeCell ref="C3:E3"/>
    <mergeCell ref="A4:E4"/>
    <mergeCell ref="A6:G6"/>
    <mergeCell ref="A8:C8"/>
    <mergeCell ref="A10:G10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abSelected="1" workbookViewId="0">
      <selection activeCell="A4" sqref="A4:E4"/>
    </sheetView>
  </sheetViews>
  <sheetFormatPr baseColWidth="10" defaultRowHeight="15" x14ac:dyDescent="0.25"/>
  <cols>
    <col min="1" max="1" width="18.28515625" bestFit="1" customWidth="1"/>
    <col min="2" max="2" width="2.28515625" customWidth="1"/>
    <col min="3" max="3" width="14" bestFit="1" customWidth="1"/>
    <col min="4" max="4" width="2.28515625" customWidth="1"/>
  </cols>
  <sheetData>
    <row r="2" spans="1:9" x14ac:dyDescent="0.25">
      <c r="A2" s="79" t="s">
        <v>99</v>
      </c>
      <c r="B2" s="79"/>
      <c r="C2" s="79"/>
      <c r="D2" s="79"/>
      <c r="E2" s="79"/>
      <c r="F2" s="79"/>
    </row>
    <row r="3" spans="1:9" ht="15.75" thickBot="1" x14ac:dyDescent="0.3">
      <c r="A3" s="49" t="s">
        <v>100</v>
      </c>
      <c r="B3" s="49" t="s">
        <v>95</v>
      </c>
      <c r="C3" s="81" t="s">
        <v>129</v>
      </c>
      <c r="D3" s="81"/>
      <c r="E3" s="81"/>
      <c r="F3" t="e">
        <f>A3*C3/A4</f>
        <v>#VALUE!</v>
      </c>
    </row>
    <row r="4" spans="1:9" x14ac:dyDescent="0.25">
      <c r="A4" s="69" t="s">
        <v>130</v>
      </c>
      <c r="B4" s="69"/>
      <c r="C4" s="69"/>
      <c r="D4" s="69"/>
      <c r="E4" s="69"/>
    </row>
    <row r="6" spans="1:9" x14ac:dyDescent="0.25">
      <c r="A6" s="78" t="s">
        <v>101</v>
      </c>
      <c r="B6" s="78"/>
      <c r="C6" s="78"/>
      <c r="D6" s="78"/>
      <c r="E6" s="78"/>
      <c r="F6" s="78"/>
    </row>
    <row r="7" spans="1:9" ht="15.75" thickBot="1" x14ac:dyDescent="0.3">
      <c r="A7" s="54" t="s">
        <v>102</v>
      </c>
      <c r="B7" s="49" t="s">
        <v>95</v>
      </c>
      <c r="C7" s="58">
        <v>0.6</v>
      </c>
      <c r="D7" s="55" t="s">
        <v>106</v>
      </c>
      <c r="E7" s="47" t="e">
        <f>A7*C7/A8</f>
        <v>#VALUE!</v>
      </c>
    </row>
    <row r="8" spans="1:9" x14ac:dyDescent="0.25">
      <c r="A8" s="71">
        <v>30.42</v>
      </c>
      <c r="B8" s="71"/>
      <c r="C8" s="71"/>
      <c r="D8" s="46"/>
    </row>
    <row r="10" spans="1:9" x14ac:dyDescent="0.25">
      <c r="A10" s="78" t="s">
        <v>103</v>
      </c>
      <c r="B10" s="78"/>
      <c r="C10" s="78"/>
      <c r="D10" s="78"/>
      <c r="E10" s="78"/>
      <c r="F10" s="78"/>
      <c r="G10" s="72" t="s">
        <v>121</v>
      </c>
      <c r="H10" s="73"/>
      <c r="I10" s="74"/>
    </row>
    <row r="11" spans="1:9" ht="15.75" thickBot="1" x14ac:dyDescent="0.3">
      <c r="A11" s="49" t="s">
        <v>104</v>
      </c>
      <c r="B11" t="s">
        <v>95</v>
      </c>
      <c r="C11" t="s">
        <v>105</v>
      </c>
      <c r="D11" t="s">
        <v>95</v>
      </c>
      <c r="E11" s="53">
        <v>0.9</v>
      </c>
      <c r="F11" t="e">
        <f>A11/A12*C11*E11</f>
        <v>#VALUE!</v>
      </c>
      <c r="G11" s="75"/>
      <c r="H11" s="76"/>
      <c r="I11" s="77"/>
    </row>
    <row r="12" spans="1:9" x14ac:dyDescent="0.25">
      <c r="A12" s="46">
        <v>30</v>
      </c>
      <c r="C12" s="56" t="s">
        <v>109</v>
      </c>
    </row>
    <row r="14" spans="1:9" x14ac:dyDescent="0.25">
      <c r="A14" s="78" t="s">
        <v>107</v>
      </c>
      <c r="B14" s="78"/>
      <c r="C14" s="78"/>
      <c r="D14" s="78"/>
      <c r="E14" s="78"/>
      <c r="F14" s="78"/>
    </row>
    <row r="15" spans="1:9" x14ac:dyDescent="0.25">
      <c r="A15" t="s">
        <v>108</v>
      </c>
      <c r="B15" t="s">
        <v>95</v>
      </c>
      <c r="C15" t="s">
        <v>105</v>
      </c>
      <c r="D15" t="s">
        <v>106</v>
      </c>
      <c r="E15" s="47" t="e">
        <f>E7*C15</f>
        <v>#VALUE!</v>
      </c>
    </row>
    <row r="16" spans="1:9" x14ac:dyDescent="0.25">
      <c r="C16" s="56" t="s">
        <v>109</v>
      </c>
    </row>
    <row r="18" spans="1:9" x14ac:dyDescent="0.25">
      <c r="A18" s="79" t="s">
        <v>110</v>
      </c>
      <c r="B18" s="79"/>
      <c r="C18" s="79"/>
      <c r="D18" s="79"/>
      <c r="E18" s="79"/>
      <c r="F18" s="79"/>
    </row>
    <row r="19" spans="1:9" ht="30" x14ac:dyDescent="0.25">
      <c r="A19" s="57" t="s">
        <v>111</v>
      </c>
      <c r="B19" t="s">
        <v>112</v>
      </c>
      <c r="C19" t="s">
        <v>113</v>
      </c>
      <c r="D19" t="s">
        <v>106</v>
      </c>
      <c r="E19" s="47" t="e">
        <f>F11-E15</f>
        <v>#VALUE!</v>
      </c>
    </row>
    <row r="21" spans="1:9" x14ac:dyDescent="0.25">
      <c r="A21" s="79" t="s">
        <v>114</v>
      </c>
      <c r="B21" s="79"/>
      <c r="C21" s="79"/>
      <c r="D21" s="79"/>
      <c r="E21" s="79"/>
      <c r="F21" s="79"/>
      <c r="H21" s="60" t="s">
        <v>119</v>
      </c>
      <c r="I21" s="61"/>
    </row>
    <row r="22" spans="1:9" x14ac:dyDescent="0.25">
      <c r="A22" t="s">
        <v>115</v>
      </c>
      <c r="B22" t="s">
        <v>106</v>
      </c>
      <c r="C22" t="s">
        <v>108</v>
      </c>
      <c r="D22" t="s">
        <v>95</v>
      </c>
      <c r="E22" t="s">
        <v>105</v>
      </c>
      <c r="F22" t="e">
        <f>E7*C3</f>
        <v>#VALUE!</v>
      </c>
      <c r="H22" s="62" t="s">
        <v>120</v>
      </c>
      <c r="I22" s="63"/>
    </row>
    <row r="23" spans="1:9" x14ac:dyDescent="0.25">
      <c r="E23" s="56" t="s">
        <v>109</v>
      </c>
    </row>
    <row r="24" spans="1:9" x14ac:dyDescent="0.25">
      <c r="A24" t="s">
        <v>116</v>
      </c>
      <c r="B24" t="s">
        <v>106</v>
      </c>
      <c r="C24" t="s">
        <v>117</v>
      </c>
      <c r="D24" t="s">
        <v>95</v>
      </c>
      <c r="E24">
        <f>1-0.067</f>
        <v>0.93300000000000005</v>
      </c>
      <c r="F24" t="e">
        <f>F22*E24</f>
        <v>#VALUE!</v>
      </c>
    </row>
    <row r="25" spans="1:9" x14ac:dyDescent="0.25">
      <c r="E25" s="56" t="s">
        <v>118</v>
      </c>
    </row>
  </sheetData>
  <mergeCells count="10">
    <mergeCell ref="A18:F18"/>
    <mergeCell ref="A21:F21"/>
    <mergeCell ref="C3:E3"/>
    <mergeCell ref="A4:E4"/>
    <mergeCell ref="A8:C8"/>
    <mergeCell ref="G10:I11"/>
    <mergeCell ref="A14:F14"/>
    <mergeCell ref="A6:F6"/>
    <mergeCell ref="A2:F2"/>
    <mergeCell ref="A10:F10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3</vt:i4>
      </vt:variant>
    </vt:vector>
  </HeadingPairs>
  <TitlesOfParts>
    <vt:vector size="12" baseType="lpstr">
      <vt:lpstr>Matrice absentéisme</vt:lpstr>
      <vt:lpstr>Calcul turn over</vt:lpstr>
      <vt:lpstr>Calcul médiane</vt:lpstr>
      <vt:lpstr>HS+Hcompensatrice trajet</vt:lpstr>
      <vt:lpstr>Matrice Ancienneté</vt:lpstr>
      <vt:lpstr>Saisie barème 2018</vt:lpstr>
      <vt:lpstr>H moyenne+ CP</vt:lpstr>
      <vt:lpstr>IJSS </vt:lpstr>
      <vt:lpstr>IJSS AT</vt:lpstr>
      <vt:lpstr>CHARGE</vt:lpstr>
      <vt:lpstr>SALNET</vt:lpstr>
      <vt:lpstr>'Matrice Ancienneté'!Zone_d_impression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AFPA</dc:creator>
  <cp:lastModifiedBy>30010-43-08</cp:lastModifiedBy>
  <dcterms:created xsi:type="dcterms:W3CDTF">2017-03-15T10:36:50Z</dcterms:created>
  <dcterms:modified xsi:type="dcterms:W3CDTF">2018-06-19T09:07:34Z</dcterms:modified>
</cp:coreProperties>
</file>